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cy05692\Desktop\"/>
    </mc:Choice>
  </mc:AlternateContent>
  <bookViews>
    <workbookView xWindow="0" yWindow="0" windowWidth="20490" windowHeight="7635"/>
  </bookViews>
  <sheets>
    <sheet name="令和5年度国保税試算表" sheetId="1" r:id="rId1"/>
    <sheet name="個人別内訳" sheetId="2" r:id="rId2"/>
  </sheets>
  <definedNames>
    <definedName name="_xlnm.Print_Area" localSheetId="0">令和5年度国保税試算表!$A$1:$J$17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 r="F3" i="2" s="1"/>
  <c r="L7" i="2" l="1"/>
  <c r="L8" i="2"/>
  <c r="L9" i="2"/>
  <c r="H3" i="2" l="1"/>
  <c r="D3" i="2"/>
  <c r="K7" i="2" l="1"/>
  <c r="I7" i="2"/>
  <c r="I8" i="2"/>
  <c r="G7" i="2"/>
  <c r="G8" i="2"/>
  <c r="G9" i="2"/>
  <c r="C7" i="2"/>
  <c r="J8" i="2"/>
  <c r="B4" i="2"/>
  <c r="B5" i="2"/>
  <c r="E5" i="2" s="1"/>
  <c r="B6" i="2"/>
  <c r="B7" i="2"/>
  <c r="B8" i="2"/>
  <c r="B9" i="2"/>
  <c r="D4" i="2"/>
  <c r="D5" i="2"/>
  <c r="D6" i="2"/>
  <c r="D7" i="2"/>
  <c r="D8" i="2"/>
  <c r="D9" i="2"/>
  <c r="H4" i="2"/>
  <c r="H5" i="2"/>
  <c r="H6" i="2"/>
  <c r="H7" i="2"/>
  <c r="J7" i="2" s="1"/>
  <c r="H8" i="2"/>
  <c r="H9" i="2"/>
  <c r="J9" i="2" s="1"/>
  <c r="F9" i="2" l="1"/>
  <c r="N9" i="2"/>
  <c r="E9" i="2"/>
  <c r="M9" i="2"/>
  <c r="F8" i="2"/>
  <c r="N8" i="2"/>
  <c r="C9" i="2"/>
  <c r="E8" i="2"/>
  <c r="K9" i="2"/>
  <c r="M8" i="2"/>
  <c r="N7" i="2"/>
  <c r="F7" i="2"/>
  <c r="C8" i="2"/>
  <c r="E7" i="2"/>
  <c r="I9" i="2"/>
  <c r="K8" i="2"/>
  <c r="M7" i="2"/>
  <c r="F6" i="2"/>
  <c r="K5" i="2"/>
  <c r="F5" i="2"/>
  <c r="M4" i="2"/>
  <c r="F4" i="2"/>
  <c r="C6" i="2"/>
  <c r="E6" i="2"/>
  <c r="G6" i="2"/>
  <c r="I6" i="2"/>
  <c r="K6" i="2"/>
  <c r="M6" i="2"/>
  <c r="M5" i="2"/>
  <c r="G5" i="2"/>
  <c r="I5" i="2"/>
  <c r="C5" i="2"/>
  <c r="C4" i="2"/>
  <c r="G4" i="2"/>
  <c r="K4" i="2"/>
  <c r="E4" i="2"/>
  <c r="I4" i="2"/>
  <c r="K3" i="2"/>
  <c r="M3" i="2"/>
  <c r="C3" i="2"/>
  <c r="G3" i="2"/>
  <c r="I3" i="2"/>
  <c r="E3" i="2"/>
  <c r="M11" i="1"/>
  <c r="M13" i="1"/>
  <c r="M12" i="1"/>
  <c r="M7" i="1"/>
  <c r="J7" i="1"/>
  <c r="C11" i="1" l="1"/>
  <c r="J3" i="2" l="1"/>
  <c r="J6" i="2"/>
  <c r="J5" i="2"/>
  <c r="J4" i="2"/>
  <c r="M10" i="1"/>
  <c r="L5" i="2" l="1"/>
  <c r="N5" i="2" s="1"/>
  <c r="L4" i="2"/>
  <c r="N4" i="2" s="1"/>
  <c r="L6" i="2"/>
  <c r="N6" i="2" s="1"/>
  <c r="L3" i="2"/>
  <c r="N3" i="2" s="1"/>
  <c r="M8" i="1"/>
  <c r="D15" i="1" s="1"/>
  <c r="D17" i="1"/>
  <c r="M9" i="1"/>
  <c r="D16" i="1" s="1"/>
  <c r="H10" i="2" l="1"/>
  <c r="D14" i="1"/>
  <c r="J15" i="1" l="1"/>
  <c r="K10" i="2"/>
  <c r="N10" i="2" s="1"/>
  <c r="I16" i="1"/>
  <c r="I15" i="1" s="1"/>
  <c r="I17" i="1" s="1"/>
</calcChain>
</file>

<file path=xl/sharedStrings.xml><?xml version="1.0" encoding="utf-8"?>
<sst xmlns="http://schemas.openxmlformats.org/spreadsheetml/2006/main" count="76" uniqueCount="58">
  <si>
    <t>円</t>
    <rPh sb="0" eb="1">
      <t>エン</t>
    </rPh>
    <phoneticPr fontId="2"/>
  </si>
  <si>
    <t>②加入者</t>
    <rPh sb="1" eb="4">
      <t>カニュウシャ</t>
    </rPh>
    <phoneticPr fontId="2"/>
  </si>
  <si>
    <t>③加入者</t>
    <rPh sb="1" eb="4">
      <t>カニュウシャ</t>
    </rPh>
    <phoneticPr fontId="2"/>
  </si>
  <si>
    <t>④加入者</t>
    <rPh sb="1" eb="4">
      <t>カニュウシャ</t>
    </rPh>
    <phoneticPr fontId="2"/>
  </si>
  <si>
    <t>⑤加入者</t>
    <rPh sb="1" eb="4">
      <t>カニュウシャ</t>
    </rPh>
    <phoneticPr fontId="2"/>
  </si>
  <si>
    <t>⑥加入者</t>
    <rPh sb="1" eb="4">
      <t>カニュウシャ</t>
    </rPh>
    <phoneticPr fontId="2"/>
  </si>
  <si>
    <t>⑦加入者</t>
    <rPh sb="1" eb="4">
      <t>カニュウシャ</t>
    </rPh>
    <phoneticPr fontId="2"/>
  </si>
  <si>
    <t>Q1</t>
    <phoneticPr fontId="2"/>
  </si>
  <si>
    <t>Q2</t>
    <phoneticPr fontId="2"/>
  </si>
  <si>
    <t>世帯総所得額：</t>
    <rPh sb="0" eb="2">
      <t>セタイ</t>
    </rPh>
    <rPh sb="2" eb="5">
      <t>ソウショトク</t>
    </rPh>
    <rPh sb="5" eb="6">
      <t>ガク</t>
    </rPh>
    <phoneticPr fontId="2"/>
  </si>
  <si>
    <t>年齢</t>
    <rPh sb="0" eb="2">
      <t>ネンレイ</t>
    </rPh>
    <phoneticPr fontId="2"/>
  </si>
  <si>
    <t>Q３</t>
    <phoneticPr fontId="2"/>
  </si>
  <si>
    <t>世帯主は国保に加入していますか？</t>
    <rPh sb="0" eb="3">
      <t>セタイヌシ</t>
    </rPh>
    <rPh sb="4" eb="6">
      <t>コクホ</t>
    </rPh>
    <rPh sb="7" eb="9">
      <t>カニュウ</t>
    </rPh>
    <phoneticPr fontId="2"/>
  </si>
  <si>
    <t>Q4</t>
    <phoneticPr fontId="2"/>
  </si>
  <si>
    <t>国保加入者数：</t>
    <rPh sb="0" eb="2">
      <t>コクホ</t>
    </rPh>
    <rPh sb="2" eb="5">
      <t>カニュウシャ</t>
    </rPh>
    <rPh sb="5" eb="6">
      <t>スウ</t>
    </rPh>
    <phoneticPr fontId="2"/>
  </si>
  <si>
    <t>国保に加入している人数は以下で間違いありませんか？(確認）</t>
    <rPh sb="0" eb="2">
      <t>コクホ</t>
    </rPh>
    <rPh sb="3" eb="5">
      <t>カニュウ</t>
    </rPh>
    <rPh sb="9" eb="11">
      <t>ニンズウ</t>
    </rPh>
    <rPh sb="12" eb="14">
      <t>イカ</t>
    </rPh>
    <rPh sb="15" eb="17">
      <t>マチガ</t>
    </rPh>
    <rPh sb="26" eb="28">
      <t>カクニン</t>
    </rPh>
    <phoneticPr fontId="2"/>
  </si>
  <si>
    <t>基礎控除：</t>
    <rPh sb="0" eb="2">
      <t>キソ</t>
    </rPh>
    <rPh sb="2" eb="4">
      <t>コウジョ</t>
    </rPh>
    <phoneticPr fontId="2"/>
  </si>
  <si>
    <t>7.5.2軽減判定：</t>
    <rPh sb="5" eb="7">
      <t>ケイゲン</t>
    </rPh>
    <rPh sb="7" eb="9">
      <t>ハンテイ</t>
    </rPh>
    <phoneticPr fontId="2"/>
  </si>
  <si>
    <t>軽減対象１８歳以下数：</t>
    <rPh sb="0" eb="2">
      <t>ケイゲン</t>
    </rPh>
    <rPh sb="2" eb="4">
      <t>タイショウ</t>
    </rPh>
    <rPh sb="6" eb="9">
      <t>サイイカ</t>
    </rPh>
    <rPh sb="9" eb="10">
      <t>スウ</t>
    </rPh>
    <phoneticPr fontId="2"/>
  </si>
  <si>
    <t>介護保険加算人数：</t>
    <rPh sb="0" eb="2">
      <t>カイゴ</t>
    </rPh>
    <rPh sb="2" eb="4">
      <t>ホケン</t>
    </rPh>
    <rPh sb="4" eb="6">
      <t>カサン</t>
    </rPh>
    <rPh sb="6" eb="8">
      <t>ニンズウ</t>
    </rPh>
    <phoneticPr fontId="2"/>
  </si>
  <si>
    <t>介護保険加算
所得割基礎額：</t>
    <rPh sb="0" eb="2">
      <t>カイゴ</t>
    </rPh>
    <rPh sb="2" eb="4">
      <t>ホケン</t>
    </rPh>
    <rPh sb="4" eb="6">
      <t>カサン</t>
    </rPh>
    <rPh sb="7" eb="9">
      <t>ショトク</t>
    </rPh>
    <rPh sb="9" eb="10">
      <t>ワリ</t>
    </rPh>
    <rPh sb="10" eb="12">
      <t>キソ</t>
    </rPh>
    <rPh sb="12" eb="13">
      <t>ガク</t>
    </rPh>
    <phoneticPr fontId="2"/>
  </si>
  <si>
    <t>後期高齢支援金分</t>
    <rPh sb="0" eb="2">
      <t>コウキ</t>
    </rPh>
    <rPh sb="2" eb="4">
      <t>コウレイ</t>
    </rPh>
    <rPh sb="4" eb="6">
      <t>シエン</t>
    </rPh>
    <rPh sb="6" eb="7">
      <t>キン</t>
    </rPh>
    <rPh sb="7" eb="8">
      <t>ブン</t>
    </rPh>
    <phoneticPr fontId="2"/>
  </si>
  <si>
    <t>医療保険分</t>
    <rPh sb="0" eb="2">
      <t>イリョウ</t>
    </rPh>
    <rPh sb="2" eb="4">
      <t>ホケン</t>
    </rPh>
    <rPh sb="4" eb="5">
      <t>ブン</t>
    </rPh>
    <phoneticPr fontId="2"/>
  </si>
  <si>
    <t>所得割基礎額：</t>
    <rPh sb="0" eb="2">
      <t>ショトク</t>
    </rPh>
    <rPh sb="2" eb="3">
      <t>ワリ</t>
    </rPh>
    <rPh sb="3" eb="5">
      <t>キソ</t>
    </rPh>
    <rPh sb="5" eb="6">
      <t>ガク</t>
    </rPh>
    <phoneticPr fontId="2"/>
  </si>
  <si>
    <t>あなたの世帯の年税額は・・・</t>
    <rPh sb="4" eb="6">
      <t>セタイ</t>
    </rPh>
    <rPh sb="7" eb="10">
      <t>ネンゼイガク</t>
    </rPh>
    <phoneticPr fontId="2"/>
  </si>
  <si>
    <t>となる見込です。</t>
    <rPh sb="3" eb="5">
      <t>ミコ</t>
    </rPh>
    <phoneticPr fontId="2"/>
  </si>
  <si>
    <t>（内訳）</t>
    <rPh sb="1" eb="3">
      <t>ウチワケ</t>
    </rPh>
    <phoneticPr fontId="2"/>
  </si>
  <si>
    <t>介護保険分
（40歳～65歳未満）</t>
    <rPh sb="0" eb="2">
      <t>カイゴ</t>
    </rPh>
    <rPh sb="2" eb="4">
      <t>ホケン</t>
    </rPh>
    <rPh sb="4" eb="5">
      <t>ブン</t>
    </rPh>
    <rPh sb="9" eb="10">
      <t>サイ</t>
    </rPh>
    <rPh sb="13" eb="16">
      <t>サイミマン</t>
    </rPh>
    <phoneticPr fontId="2"/>
  </si>
  <si>
    <t>18歳以下均等割軽減額医療：</t>
    <rPh sb="2" eb="5">
      <t>サイイカ</t>
    </rPh>
    <rPh sb="5" eb="8">
      <t>キントウワ</t>
    </rPh>
    <rPh sb="8" eb="10">
      <t>ケイゲン</t>
    </rPh>
    <rPh sb="10" eb="11">
      <t>ガク</t>
    </rPh>
    <rPh sb="11" eb="13">
      <t>イリョウ</t>
    </rPh>
    <phoneticPr fontId="2"/>
  </si>
  <si>
    <t>18歳以下均等割軽減額後期：</t>
    <rPh sb="2" eb="5">
      <t>サイイカ</t>
    </rPh>
    <rPh sb="5" eb="8">
      <t>キントウワ</t>
    </rPh>
    <rPh sb="8" eb="10">
      <t>ケイゲン</t>
    </rPh>
    <rPh sb="10" eb="11">
      <t>ガク</t>
    </rPh>
    <rPh sb="11" eb="13">
      <t>コウキ</t>
    </rPh>
    <phoneticPr fontId="2"/>
  </si>
  <si>
    <t>※75歳以上の場合は国保ではありません。</t>
    <rPh sb="3" eb="6">
      <t>サイイジョウ</t>
    </rPh>
    <rPh sb="7" eb="9">
      <t>バアイ</t>
    </rPh>
    <rPh sb="10" eb="12">
      <t>コクホ</t>
    </rPh>
    <phoneticPr fontId="2"/>
  </si>
  <si>
    <t>年間８回払</t>
    <rPh sb="0" eb="2">
      <t>ネンカン</t>
    </rPh>
    <rPh sb="3" eb="4">
      <t>カイ</t>
    </rPh>
    <rPh sb="4" eb="5">
      <t>ハラ</t>
    </rPh>
    <phoneticPr fontId="2"/>
  </si>
  <si>
    <t>第１期：</t>
    <rPh sb="0" eb="1">
      <t>ダイ</t>
    </rPh>
    <rPh sb="2" eb="3">
      <t>キ</t>
    </rPh>
    <phoneticPr fontId="2"/>
  </si>
  <si>
    <t>第２期～第８期：</t>
    <rPh sb="0" eb="1">
      <t>ダイ</t>
    </rPh>
    <rPh sb="2" eb="3">
      <t>キ</t>
    </rPh>
    <rPh sb="4" eb="5">
      <t>ダイ</t>
    </rPh>
    <rPh sb="6" eb="7">
      <t>キ</t>
    </rPh>
    <phoneticPr fontId="2"/>
  </si>
  <si>
    <t>合計：</t>
    <rPh sb="0" eb="2">
      <t>ゴウケイ</t>
    </rPh>
    <phoneticPr fontId="2"/>
  </si>
  <si>
    <t>月々換算</t>
    <rPh sb="0" eb="2">
      <t>ツキヅキ</t>
    </rPh>
    <rPh sb="2" eb="4">
      <t>カンサン</t>
    </rPh>
    <phoneticPr fontId="2"/>
  </si>
  <si>
    <t>※Q1～Q4まで正確に入力してください。</t>
    <rPh sb="8" eb="10">
      <t>セイカク</t>
    </rPh>
    <rPh sb="11" eb="13">
      <t>ニュウリョク</t>
    </rPh>
    <phoneticPr fontId="2"/>
  </si>
  <si>
    <r>
      <t xml:space="preserve">前年中の総所得金額
</t>
    </r>
    <r>
      <rPr>
        <b/>
        <sz val="10"/>
        <color theme="1"/>
        <rFont val="ＭＳ Ｐゴシック"/>
        <family val="3"/>
        <charset val="128"/>
        <scheme val="minor"/>
      </rPr>
      <t>※収入ではありません</t>
    </r>
    <rPh sb="0" eb="3">
      <t>ゼンネンチュウ</t>
    </rPh>
    <rPh sb="4" eb="5">
      <t>ソウ</t>
    </rPh>
    <rPh sb="5" eb="7">
      <t>ショトク</t>
    </rPh>
    <rPh sb="7" eb="9">
      <t>キンガク</t>
    </rPh>
    <rPh sb="11" eb="13">
      <t>シュウニュウ</t>
    </rPh>
    <phoneticPr fontId="2"/>
  </si>
  <si>
    <r>
      <t>①世帯主</t>
    </r>
    <r>
      <rPr>
        <b/>
        <sz val="12"/>
        <color rgb="FFFF0000"/>
        <rFont val="ＭＳ Ｐゴシック"/>
        <family val="3"/>
        <charset val="128"/>
        <scheme val="minor"/>
      </rPr>
      <t>※必須</t>
    </r>
    <rPh sb="1" eb="4">
      <t>セタイヌシ</t>
    </rPh>
    <rPh sb="5" eb="7">
      <t>ヒッス</t>
    </rPh>
    <phoneticPr fontId="2"/>
  </si>
  <si>
    <r>
      <t>　　　　　　　　　　　　　　　　　　試算結果</t>
    </r>
    <r>
      <rPr>
        <b/>
        <sz val="10"/>
        <color theme="1"/>
        <rFont val="ＭＳ Ｐゴシック"/>
        <family val="3"/>
        <charset val="128"/>
        <scheme val="minor"/>
      </rPr>
      <t>※必ずしもこの金額になるとは限りませんので予めご了承ください。</t>
    </r>
    <rPh sb="18" eb="20">
      <t>シサン</t>
    </rPh>
    <rPh sb="20" eb="22">
      <t>ケッカ</t>
    </rPh>
    <rPh sb="23" eb="24">
      <t>カナラ</t>
    </rPh>
    <rPh sb="29" eb="31">
      <t>キンガク</t>
    </rPh>
    <rPh sb="36" eb="37">
      <t>カギ</t>
    </rPh>
    <rPh sb="43" eb="44">
      <t>アラカジ</t>
    </rPh>
    <rPh sb="46" eb="48">
      <t>リョウショウ</t>
    </rPh>
    <phoneticPr fontId="2"/>
  </si>
  <si>
    <t>所得割基礎額
（総所得金額－４３万円）</t>
    <rPh sb="0" eb="2">
      <t>ショトク</t>
    </rPh>
    <rPh sb="2" eb="3">
      <t>ワリ</t>
    </rPh>
    <rPh sb="3" eb="5">
      <t>キソ</t>
    </rPh>
    <rPh sb="5" eb="6">
      <t>ガク</t>
    </rPh>
    <rPh sb="8" eb="11">
      <t>ソウショトク</t>
    </rPh>
    <rPh sb="11" eb="13">
      <t>キンガク</t>
    </rPh>
    <rPh sb="16" eb="18">
      <t>マンエン</t>
    </rPh>
    <phoneticPr fontId="2"/>
  </si>
  <si>
    <t>所得割率（％）</t>
    <rPh sb="0" eb="2">
      <t>ショトク</t>
    </rPh>
    <rPh sb="2" eb="3">
      <t>ワリ</t>
    </rPh>
    <rPh sb="3" eb="4">
      <t>リツ</t>
    </rPh>
    <phoneticPr fontId="2"/>
  </si>
  <si>
    <t>所得割額</t>
    <rPh sb="0" eb="2">
      <t>ショトク</t>
    </rPh>
    <rPh sb="2" eb="3">
      <t>ワリ</t>
    </rPh>
    <rPh sb="3" eb="4">
      <t>ガク</t>
    </rPh>
    <phoneticPr fontId="2"/>
  </si>
  <si>
    <t>＋</t>
    <phoneticPr fontId="2"/>
  </si>
  <si>
    <t>均等割額</t>
    <rPh sb="0" eb="3">
      <t>キントウワ</t>
    </rPh>
    <rPh sb="3" eb="4">
      <t>ガク</t>
    </rPh>
    <phoneticPr fontId="2"/>
  </si>
  <si>
    <t>低所得者
均等割軽減判定</t>
    <rPh sb="0" eb="4">
      <t>テイショトクシャ</t>
    </rPh>
    <rPh sb="5" eb="8">
      <t>キントウワリ</t>
    </rPh>
    <rPh sb="8" eb="10">
      <t>ケイゲン</t>
    </rPh>
    <rPh sb="10" eb="12">
      <t>ハンテイ</t>
    </rPh>
    <phoneticPr fontId="2"/>
  </si>
  <si>
    <t>１８歳以下
均等割軽減・減免額</t>
    <rPh sb="2" eb="5">
      <t>サイイカ</t>
    </rPh>
    <rPh sb="6" eb="9">
      <t>キントウワ</t>
    </rPh>
    <rPh sb="9" eb="11">
      <t>ケイゲン</t>
    </rPh>
    <rPh sb="12" eb="14">
      <t>ゲンメン</t>
    </rPh>
    <rPh sb="14" eb="15">
      <t>ガク</t>
    </rPh>
    <phoneticPr fontId="2"/>
  </si>
  <si>
    <t>年税額</t>
    <rPh sb="0" eb="3">
      <t>ネンゼイガク</t>
    </rPh>
    <phoneticPr fontId="2"/>
  </si>
  <si>
    <t>世帯年税額</t>
    <rPh sb="0" eb="2">
      <t>セタイ</t>
    </rPh>
    <rPh sb="2" eb="5">
      <t>ネンゼイガク</t>
    </rPh>
    <rPh sb="3" eb="4">
      <t>ゼイ</t>
    </rPh>
    <rPh sb="4" eb="5">
      <t>ガク</t>
    </rPh>
    <phoneticPr fontId="2"/>
  </si>
  <si>
    <t>:</t>
    <phoneticPr fontId="2"/>
  </si>
  <si>
    <t>※所得なしの場合は「０」と入力</t>
    <rPh sb="1" eb="3">
      <t>ショトク</t>
    </rPh>
    <rPh sb="6" eb="8">
      <t>バアイ</t>
    </rPh>
    <rPh sb="13" eb="15">
      <t>ニュウリョク</t>
    </rPh>
    <phoneticPr fontId="2"/>
  </si>
  <si>
    <t>＝</t>
    <phoneticPr fontId="2"/>
  </si>
  <si>
    <t>個人ごとの内訳表（参考）</t>
    <rPh sb="0" eb="2">
      <t>コジン</t>
    </rPh>
    <rPh sb="5" eb="7">
      <t>ウチワケ</t>
    </rPh>
    <rPh sb="7" eb="8">
      <t>ヒョウ</t>
    </rPh>
    <rPh sb="9" eb="11">
      <t>サンコウ</t>
    </rPh>
    <phoneticPr fontId="2"/>
  </si>
  <si>
    <t>(限度額：650,000円）</t>
    <rPh sb="1" eb="3">
      <t>ゲンド</t>
    </rPh>
    <rPh sb="3" eb="4">
      <t>ガク</t>
    </rPh>
    <rPh sb="12" eb="13">
      <t>エン</t>
    </rPh>
    <phoneticPr fontId="2"/>
  </si>
  <si>
    <t>（限度額：170,000円）</t>
    <rPh sb="1" eb="3">
      <t>ゲンド</t>
    </rPh>
    <rPh sb="3" eb="4">
      <t>ガク</t>
    </rPh>
    <rPh sb="12" eb="13">
      <t>エン</t>
    </rPh>
    <phoneticPr fontId="2"/>
  </si>
  <si>
    <t>【令和5年度】八千代町国民健康保険税試算表</t>
    <rPh sb="1" eb="3">
      <t>レイワ</t>
    </rPh>
    <rPh sb="4" eb="6">
      <t>ネンド</t>
    </rPh>
    <rPh sb="7" eb="11">
      <t>ヤチヨマチ</t>
    </rPh>
    <rPh sb="11" eb="13">
      <t>コクミン</t>
    </rPh>
    <rPh sb="13" eb="15">
      <t>ケンコウ</t>
    </rPh>
    <rPh sb="15" eb="17">
      <t>ホケン</t>
    </rPh>
    <rPh sb="17" eb="18">
      <t>ゼイ</t>
    </rPh>
    <rPh sb="18" eb="21">
      <t>シサンヒョウ</t>
    </rPh>
    <phoneticPr fontId="2"/>
  </si>
  <si>
    <t>（限度額：220,000円）</t>
    <rPh sb="1" eb="3">
      <t>ゲンド</t>
    </rPh>
    <rPh sb="3" eb="4">
      <t>ガク</t>
    </rPh>
    <rPh sb="12" eb="13">
      <t>エン</t>
    </rPh>
    <phoneticPr fontId="2"/>
  </si>
  <si>
    <t>×していない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</si>
</sst>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quot;人&quot;"/>
    <numFmt numFmtId="178" formatCode="0.0%"/>
    <numFmt numFmtId="179" formatCode="&quot;端&quot;&quot;数&quot;#,##0&quot;円&quot;"/>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sz val="20"/>
      <color theme="1"/>
      <name val="ＭＳ Ｐゴシック"/>
      <family val="2"/>
      <charset val="128"/>
      <scheme val="minor"/>
    </font>
    <font>
      <b/>
      <sz val="20"/>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9"/>
      <color rgb="FFFF0000"/>
      <name val="ＭＳ Ｐゴシック"/>
      <family val="3"/>
      <charset val="128"/>
      <scheme val="minor"/>
    </font>
    <font>
      <sz val="11"/>
      <color theme="1"/>
      <name val="ＭＳ Ｐゴシック"/>
      <family val="3"/>
      <charset val="128"/>
      <scheme val="minor"/>
    </font>
    <font>
      <b/>
      <sz val="22"/>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s>
  <borders count="33">
    <border>
      <left/>
      <right/>
      <top/>
      <bottom/>
      <diagonal/>
    </border>
    <border>
      <left/>
      <right/>
      <top/>
      <bottom style="medium">
        <color auto="1"/>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bottom style="thick">
        <color auto="1"/>
      </bottom>
      <diagonal/>
    </border>
    <border>
      <left/>
      <right/>
      <top style="thin">
        <color auto="1"/>
      </top>
      <bottom style="thick">
        <color auto="1"/>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style="medium">
        <color auto="1"/>
      </top>
      <bottom style="medium">
        <color auto="1"/>
      </bottom>
      <diagonal/>
    </border>
    <border>
      <left style="thin">
        <color indexed="64"/>
      </left>
      <right/>
      <top/>
      <bottom/>
      <diagonal/>
    </border>
    <border>
      <left/>
      <right/>
      <top style="thick">
        <color auto="1"/>
      </top>
      <bottom/>
      <diagonal/>
    </border>
    <border>
      <left style="thick">
        <color auto="1"/>
      </left>
      <right style="thick">
        <color auto="1"/>
      </right>
      <top style="thick">
        <color auto="1"/>
      </top>
      <bottom/>
      <diagonal/>
    </border>
    <border>
      <left style="thick">
        <color auto="1"/>
      </left>
      <right style="thick">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6" fillId="0" borderId="0" xfId="0" applyFont="1">
      <alignment vertical="center"/>
    </xf>
    <xf numFmtId="0" fontId="13" fillId="0" borderId="0" xfId="0" applyFont="1" applyAlignment="1">
      <alignment horizontal="center" vertical="center"/>
    </xf>
    <xf numFmtId="0" fontId="5" fillId="0" borderId="3" xfId="0" applyFont="1" applyBorder="1">
      <alignment vertical="center"/>
    </xf>
    <xf numFmtId="0" fontId="6" fillId="0" borderId="3" xfId="0" applyNumberFormat="1" applyFont="1" applyBorder="1">
      <alignment vertical="center"/>
    </xf>
    <xf numFmtId="0" fontId="9" fillId="0" borderId="4" xfId="0" applyFont="1" applyBorder="1">
      <alignment vertical="center"/>
    </xf>
    <xf numFmtId="0" fontId="6" fillId="0" borderId="4" xfId="0" applyNumberFormat="1" applyFont="1" applyBorder="1">
      <alignment vertical="center"/>
    </xf>
    <xf numFmtId="0" fontId="0" fillId="0" borderId="0" xfId="0" applyBorder="1">
      <alignment vertical="center"/>
    </xf>
    <xf numFmtId="0" fontId="9" fillId="0" borderId="6" xfId="0" applyFont="1" applyBorder="1">
      <alignment vertical="center"/>
    </xf>
    <xf numFmtId="0" fontId="6" fillId="0" borderId="6" xfId="0" applyNumberFormat="1" applyFont="1" applyBorder="1">
      <alignment vertical="center"/>
    </xf>
    <xf numFmtId="0" fontId="9" fillId="0" borderId="0" xfId="0" applyFont="1" applyFill="1" applyBorder="1">
      <alignment vertical="center"/>
    </xf>
    <xf numFmtId="0" fontId="12" fillId="2" borderId="0" xfId="0" applyFont="1" applyFill="1" applyAlignment="1">
      <alignment horizontal="center" vertical="center"/>
    </xf>
    <xf numFmtId="0" fontId="13" fillId="2" borderId="0" xfId="0" applyFont="1" applyFill="1">
      <alignment vertical="center"/>
    </xf>
    <xf numFmtId="0" fontId="0" fillId="0" borderId="0" xfId="0" applyFill="1" applyAlignment="1">
      <alignment vertical="center" shrinkToFit="1"/>
    </xf>
    <xf numFmtId="0" fontId="14" fillId="0" borderId="0" xfId="0" applyFont="1" applyFill="1" applyBorder="1" applyAlignment="1">
      <alignment vertical="center" shrinkToFit="1"/>
    </xf>
    <xf numFmtId="38" fontId="0" fillId="0" borderId="0" xfId="1" applyFont="1" applyBorder="1">
      <alignment vertical="center"/>
    </xf>
    <xf numFmtId="0" fontId="11" fillId="0" borderId="0" xfId="0" applyFont="1" applyBorder="1" applyAlignment="1">
      <alignment vertical="center" wrapText="1" shrinkToFit="1"/>
    </xf>
    <xf numFmtId="38" fontId="8" fillId="4" borderId="7" xfId="0" applyNumberFormat="1" applyFont="1" applyFill="1" applyBorder="1">
      <alignment vertical="center"/>
    </xf>
    <xf numFmtId="0" fontId="8" fillId="4" borderId="7" xfId="0" applyFont="1" applyFill="1" applyBorder="1">
      <alignment vertical="center"/>
    </xf>
    <xf numFmtId="0" fontId="0" fillId="0" borderId="13" xfId="0" applyBorder="1" applyAlignment="1">
      <alignment horizontal="right" vertical="center"/>
    </xf>
    <xf numFmtId="0" fontId="0" fillId="0" borderId="13" xfId="0" applyBorder="1">
      <alignment vertical="center"/>
    </xf>
    <xf numFmtId="0" fontId="0" fillId="0" borderId="14" xfId="0" applyBorder="1">
      <alignment vertical="center"/>
    </xf>
    <xf numFmtId="0" fontId="11" fillId="0" borderId="1" xfId="0" applyFont="1" applyBorder="1" applyAlignment="1">
      <alignment vertical="center" wrapText="1"/>
    </xf>
    <xf numFmtId="38" fontId="0" fillId="0" borderId="1" xfId="1" applyFont="1" applyBorder="1">
      <alignment vertical="center"/>
    </xf>
    <xf numFmtId="0" fontId="0" fillId="0" borderId="1" xfId="0" applyBorder="1">
      <alignment vertical="center"/>
    </xf>
    <xf numFmtId="38" fontId="10" fillId="0" borderId="0" xfId="0" applyNumberFormat="1" applyFont="1" applyBorder="1">
      <alignment vertical="center"/>
    </xf>
    <xf numFmtId="0" fontId="10" fillId="0" borderId="0" xfId="0" applyNumberFormat="1" applyFont="1" applyFill="1" applyBorder="1">
      <alignment vertical="center"/>
    </xf>
    <xf numFmtId="0" fontId="4" fillId="0" borderId="0" xfId="0" applyFont="1" applyBorder="1">
      <alignment vertical="center"/>
    </xf>
    <xf numFmtId="176" fontId="0" fillId="0" borderId="9" xfId="1" applyNumberFormat="1" applyFont="1" applyBorder="1">
      <alignment vertical="center"/>
    </xf>
    <xf numFmtId="176" fontId="0" fillId="0" borderId="23" xfId="0" applyNumberFormat="1" applyBorder="1">
      <alignment vertical="center"/>
    </xf>
    <xf numFmtId="0" fontId="0" fillId="0" borderId="24" xfId="0" applyBorder="1">
      <alignment vertical="center"/>
    </xf>
    <xf numFmtId="0" fontId="0" fillId="0" borderId="25" xfId="0" applyBorder="1">
      <alignment vertical="center"/>
    </xf>
    <xf numFmtId="176" fontId="0" fillId="0" borderId="11" xfId="1" applyNumberFormat="1" applyFont="1" applyBorder="1">
      <alignment vertical="center"/>
    </xf>
    <xf numFmtId="176" fontId="0" fillId="0" borderId="15" xfId="0" applyNumberFormat="1" applyBorder="1">
      <alignment vertical="center"/>
    </xf>
    <xf numFmtId="0" fontId="0" fillId="0" borderId="12" xfId="0" applyBorder="1" applyAlignment="1">
      <alignment horizontal="center" vertical="center"/>
    </xf>
    <xf numFmtId="0" fontId="0" fillId="0" borderId="0" xfId="0" applyAlignment="1" applyProtection="1">
      <alignment horizontal="right" vertical="center"/>
    </xf>
    <xf numFmtId="3" fontId="0" fillId="0" borderId="0" xfId="0" applyNumberFormat="1" applyProtection="1">
      <alignment vertical="center"/>
    </xf>
    <xf numFmtId="0" fontId="0" fillId="0" borderId="0" xfId="0" applyAlignment="1" applyProtection="1">
      <alignment vertical="center" shrinkToFit="1"/>
    </xf>
    <xf numFmtId="177" fontId="0" fillId="0" borderId="0" xfId="0" applyNumberFormat="1" applyProtection="1">
      <alignment vertical="center"/>
    </xf>
    <xf numFmtId="176" fontId="0" fillId="0" borderId="0" xfId="1" applyNumberFormat="1" applyFont="1" applyProtection="1">
      <alignment vertical="center"/>
    </xf>
    <xf numFmtId="176" fontId="0" fillId="0" borderId="0" xfId="0" applyNumberFormat="1" applyProtection="1">
      <alignment vertical="center"/>
    </xf>
    <xf numFmtId="0" fontId="0" fillId="0" borderId="0" xfId="0" applyAlignment="1" applyProtection="1">
      <alignment horizontal="right" vertical="center" wrapText="1" shrinkToFit="1"/>
    </xf>
    <xf numFmtId="38" fontId="6" fillId="3" borderId="3" xfId="1" applyFont="1" applyFill="1" applyBorder="1" applyAlignment="1" applyProtection="1">
      <alignment vertical="center" shrinkToFit="1"/>
      <protection locked="0"/>
    </xf>
    <xf numFmtId="38" fontId="6" fillId="3" borderId="5" xfId="1" applyFont="1" applyFill="1" applyBorder="1" applyAlignment="1" applyProtection="1">
      <alignment vertical="center" shrinkToFit="1"/>
      <protection locked="0"/>
    </xf>
    <xf numFmtId="0" fontId="13" fillId="3" borderId="0" xfId="0" applyFont="1" applyFill="1" applyAlignment="1" applyProtection="1">
      <alignment horizontal="center" vertical="center" shrinkToFit="1"/>
      <protection locked="0"/>
    </xf>
    <xf numFmtId="0" fontId="3" fillId="3" borderId="0" xfId="0" applyFont="1" applyFill="1" applyProtection="1">
      <alignment vertical="center"/>
    </xf>
    <xf numFmtId="177" fontId="6" fillId="3" borderId="0" xfId="0" applyNumberFormat="1" applyFont="1" applyFill="1" applyAlignment="1" applyProtection="1">
      <alignment horizontal="center" vertical="center"/>
    </xf>
    <xf numFmtId="0" fontId="15" fillId="0" borderId="0" xfId="0" applyFont="1">
      <alignment vertical="center"/>
    </xf>
    <xf numFmtId="0" fontId="17"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wrapText="1"/>
    </xf>
    <xf numFmtId="0" fontId="20" fillId="0" borderId="0" xfId="0" applyFont="1" applyFill="1" applyBorder="1" applyAlignment="1">
      <alignment horizontal="center" vertical="center"/>
    </xf>
    <xf numFmtId="0" fontId="0" fillId="0" borderId="31" xfId="0" applyBorder="1">
      <alignment vertical="center"/>
    </xf>
    <xf numFmtId="176" fontId="6" fillId="0" borderId="3" xfId="0" applyNumberFormat="1" applyFont="1" applyBorder="1">
      <alignment vertical="center"/>
    </xf>
    <xf numFmtId="0" fontId="12" fillId="0" borderId="3" xfId="0" applyFont="1" applyBorder="1" applyAlignment="1">
      <alignment horizontal="center" vertical="center"/>
    </xf>
    <xf numFmtId="178" fontId="6" fillId="0" borderId="3" xfId="0" applyNumberFormat="1" applyFont="1" applyBorder="1">
      <alignment vertical="center"/>
    </xf>
    <xf numFmtId="0" fontId="6" fillId="0" borderId="3" xfId="0" applyFont="1" applyBorder="1" applyAlignment="1">
      <alignment horizontal="center" vertical="center"/>
    </xf>
    <xf numFmtId="176" fontId="6" fillId="0" borderId="4" xfId="0" applyNumberFormat="1" applyFont="1" applyBorder="1">
      <alignment vertical="center"/>
    </xf>
    <xf numFmtId="0" fontId="12" fillId="0" borderId="4" xfId="0" applyFont="1" applyBorder="1" applyAlignment="1">
      <alignment horizontal="center" vertical="center"/>
    </xf>
    <xf numFmtId="178" fontId="6" fillId="0" borderId="4" xfId="0" applyNumberFormat="1" applyFont="1" applyBorder="1">
      <alignment vertical="center"/>
    </xf>
    <xf numFmtId="0" fontId="6" fillId="0" borderId="4" xfId="0" applyFont="1" applyBorder="1" applyAlignment="1">
      <alignment horizontal="center" vertical="center"/>
    </xf>
    <xf numFmtId="176" fontId="6" fillId="0" borderId="6" xfId="0" applyNumberFormat="1" applyFont="1" applyBorder="1">
      <alignment vertical="center"/>
    </xf>
    <xf numFmtId="0" fontId="12" fillId="0" borderId="6" xfId="0" applyFont="1" applyBorder="1" applyAlignment="1">
      <alignment horizontal="center" vertical="center"/>
    </xf>
    <xf numFmtId="178" fontId="6" fillId="0" borderId="6" xfId="0" applyNumberFormat="1" applyFont="1" applyBorder="1">
      <alignment vertical="center"/>
    </xf>
    <xf numFmtId="0" fontId="6" fillId="0" borderId="6" xfId="0" applyFont="1" applyBorder="1" applyAlignment="1">
      <alignment horizontal="center" vertical="center"/>
    </xf>
    <xf numFmtId="176" fontId="6" fillId="0" borderId="32" xfId="0" applyNumberFormat="1" applyFont="1" applyBorder="1">
      <alignment vertical="center"/>
    </xf>
    <xf numFmtId="0" fontId="19" fillId="0" borderId="30" xfId="0" applyFont="1" applyBorder="1" applyAlignment="1">
      <alignment horizontal="center" vertical="center"/>
    </xf>
    <xf numFmtId="0" fontId="20" fillId="0" borderId="0" xfId="0" applyFont="1" applyAlignment="1">
      <alignment horizontal="center" vertical="center"/>
    </xf>
    <xf numFmtId="0" fontId="0" fillId="0" borderId="0" xfId="0" applyBorder="1" applyAlignment="1">
      <alignment vertical="center" shrinkToFit="1"/>
    </xf>
    <xf numFmtId="0" fontId="0" fillId="0" borderId="1" xfId="0" applyBorder="1" applyAlignment="1">
      <alignment vertical="center" shrinkToFit="1"/>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1" xfId="0" applyBorder="1" applyAlignment="1">
      <alignment horizontal="right" vertical="center"/>
    </xf>
    <xf numFmtId="0" fontId="0" fillId="0" borderId="8" xfId="0" applyBorder="1" applyAlignment="1">
      <alignment horizontal="right" vertical="center"/>
    </xf>
    <xf numFmtId="0" fontId="0" fillId="0" borderId="22" xfId="0" applyBorder="1" applyAlignment="1">
      <alignment horizontal="right" vertical="center"/>
    </xf>
    <xf numFmtId="0" fontId="0" fillId="0" borderId="19" xfId="0" applyBorder="1" applyAlignment="1">
      <alignment horizontal="right"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8" fillId="5" borderId="16" xfId="0" applyFont="1" applyFill="1" applyBorder="1" applyAlignment="1">
      <alignment horizontal="center" vertical="center"/>
    </xf>
    <xf numFmtId="0" fontId="0" fillId="5" borderId="2" xfId="0" applyFill="1" applyBorder="1" applyAlignment="1">
      <alignment horizontal="center" vertical="center"/>
    </xf>
    <xf numFmtId="0" fontId="0" fillId="5" borderId="2" xfId="0" applyFill="1" applyBorder="1" applyAlignment="1">
      <alignment vertical="center"/>
    </xf>
    <xf numFmtId="0" fontId="0" fillId="5" borderId="17" xfId="0" applyFill="1" applyBorder="1" applyAlignment="1">
      <alignment vertical="center"/>
    </xf>
    <xf numFmtId="0" fontId="5" fillId="3" borderId="3" xfId="0" applyFont="1" applyFill="1" applyBorder="1" applyAlignment="1" applyProtection="1">
      <alignment vertical="center" wrapText="1" shrinkToFit="1"/>
      <protection locked="0"/>
    </xf>
    <xf numFmtId="0" fontId="9" fillId="3" borderId="3" xfId="0" applyFont="1" applyFill="1" applyBorder="1" applyAlignment="1" applyProtection="1">
      <alignment vertical="center"/>
      <protection locked="0"/>
    </xf>
    <xf numFmtId="0" fontId="5" fillId="3" borderId="6" xfId="0" applyFont="1" applyFill="1" applyBorder="1" applyAlignment="1" applyProtection="1">
      <alignment vertical="center" wrapText="1" shrinkToFit="1"/>
      <protection locked="0"/>
    </xf>
    <xf numFmtId="0" fontId="9" fillId="3" borderId="6" xfId="0" applyFont="1" applyFill="1" applyBorder="1" applyAlignment="1" applyProtection="1">
      <alignment vertical="center"/>
      <protection locked="0"/>
    </xf>
    <xf numFmtId="0" fontId="5" fillId="2" borderId="0" xfId="0" applyFont="1" applyFill="1" applyBorder="1" applyAlignment="1">
      <alignment vertical="center" wrapText="1" shrinkToFit="1"/>
    </xf>
    <xf numFmtId="0" fontId="9" fillId="0" borderId="0" xfId="0" applyFont="1" applyAlignment="1">
      <alignment vertical="center" wrapText="1" shrinkToFit="1"/>
    </xf>
    <xf numFmtId="0" fontId="5" fillId="4" borderId="13" xfId="0" applyFont="1" applyFill="1" applyBorder="1" applyAlignment="1">
      <alignment vertical="center"/>
    </xf>
    <xf numFmtId="0" fontId="3" fillId="4" borderId="0" xfId="0" applyFont="1" applyFill="1" applyBorder="1" applyAlignment="1">
      <alignment vertical="center"/>
    </xf>
    <xf numFmtId="0" fontId="7" fillId="0" borderId="9" xfId="0" applyFont="1"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8" fillId="2" borderId="0" xfId="0" applyFont="1" applyFill="1" applyAlignment="1">
      <alignment vertical="center" textRotation="255" wrapText="1" shrinkToFit="1"/>
    </xf>
    <xf numFmtId="0" fontId="8" fillId="2" borderId="0" xfId="0" applyFont="1" applyFill="1" applyAlignment="1">
      <alignment vertical="center" shrinkToFit="1"/>
    </xf>
    <xf numFmtId="0" fontId="8" fillId="2" borderId="0" xfId="0" applyFont="1" applyFill="1" applyAlignment="1">
      <alignment vertical="center" textRotation="255"/>
    </xf>
    <xf numFmtId="0" fontId="5" fillId="2" borderId="0" xfId="0" applyFont="1" applyFill="1" applyAlignment="1">
      <alignment vertical="center" shrinkToFit="1"/>
    </xf>
    <xf numFmtId="0" fontId="0" fillId="0" borderId="0" xfId="0" applyAlignment="1">
      <alignment vertical="center" shrinkToFit="1"/>
    </xf>
    <xf numFmtId="0" fontId="3" fillId="0" borderId="29" xfId="0" applyFont="1" applyBorder="1" applyAlignment="1">
      <alignment horizontal="center" vertical="center"/>
    </xf>
    <xf numFmtId="0" fontId="3" fillId="0" borderId="0" xfId="0" applyFont="1" applyAlignment="1">
      <alignment horizontal="center" vertical="center"/>
    </xf>
    <xf numFmtId="0" fontId="13" fillId="0" borderId="16" xfId="0" applyFont="1" applyBorder="1" applyAlignment="1">
      <alignment vertical="center"/>
    </xf>
    <xf numFmtId="0" fontId="13" fillId="0" borderId="2" xfId="0" applyFont="1" applyBorder="1" applyAlignment="1">
      <alignment vertical="center"/>
    </xf>
    <xf numFmtId="0" fontId="13" fillId="0" borderId="17" xfId="0" applyFont="1" applyBorder="1" applyAlignment="1">
      <alignment vertical="center"/>
    </xf>
    <xf numFmtId="0" fontId="19" fillId="0" borderId="30" xfId="0" applyFont="1" applyBorder="1" applyAlignment="1">
      <alignment horizontal="center" vertical="center"/>
    </xf>
    <xf numFmtId="176" fontId="21" fillId="0" borderId="30" xfId="0" applyNumberFormat="1" applyFont="1" applyBorder="1" applyAlignment="1">
      <alignment horizontal="center" vertical="center"/>
    </xf>
    <xf numFmtId="0" fontId="18" fillId="0" borderId="30" xfId="0" applyFont="1" applyBorder="1" applyAlignment="1">
      <alignment horizontal="center" vertical="center"/>
    </xf>
    <xf numFmtId="179" fontId="21" fillId="6" borderId="30" xfId="0" applyNumberFormat="1" applyFont="1" applyFill="1" applyBorder="1" applyAlignment="1">
      <alignment horizontal="center" vertical="center"/>
    </xf>
    <xf numFmtId="179" fontId="18" fillId="6" borderId="30" xfId="0" applyNumberFormat="1" applyFont="1" applyFill="1" applyBorder="1" applyAlignment="1">
      <alignment horizontal="center" vertical="center"/>
    </xf>
    <xf numFmtId="176" fontId="19" fillId="4" borderId="0" xfId="0" applyNumberFormat="1" applyFont="1" applyFill="1" applyBorder="1" applyAlignment="1">
      <alignment vertical="center" shrinkToFit="1"/>
    </xf>
    <xf numFmtId="0" fontId="21" fillId="0" borderId="0" xfId="0" applyFont="1" applyAlignment="1">
      <alignment vertical="center" shrinkToFit="1"/>
    </xf>
    <xf numFmtId="0" fontId="7" fillId="4" borderId="0" xfId="0" applyFont="1" applyFill="1" applyAlignment="1">
      <alignment horizontal="center" vertical="center"/>
    </xf>
    <xf numFmtId="0" fontId="7" fillId="0" borderId="0" xfId="0" applyFont="1" applyAlignment="1">
      <alignment horizontal="center" vertical="center"/>
    </xf>
    <xf numFmtId="176" fontId="6" fillId="4" borderId="4" xfId="0" applyNumberFormat="1" applyFont="1" applyFill="1" applyBorder="1" applyAlignment="1">
      <alignment vertical="center"/>
    </xf>
    <xf numFmtId="176" fontId="6" fillId="4" borderId="6" xfId="0" applyNumberFormat="1" applyFont="1" applyFill="1" applyBorder="1" applyAlignment="1">
      <alignment vertical="center"/>
    </xf>
    <xf numFmtId="0" fontId="0" fillId="0" borderId="6" xfId="0" applyBorder="1" applyAlignment="1">
      <alignment vertical="center"/>
    </xf>
    <xf numFmtId="176" fontId="6" fillId="4" borderId="3" xfId="0" applyNumberFormat="1" applyFont="1" applyFill="1" applyBorder="1" applyAlignment="1">
      <alignment vertical="center"/>
    </xf>
    <xf numFmtId="0" fontId="0" fillId="0" borderId="3"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133350</xdr:colOff>
      <xdr:row>7</xdr:row>
      <xdr:rowOff>152400</xdr:rowOff>
    </xdr:from>
    <xdr:to>
      <xdr:col>9</xdr:col>
      <xdr:colOff>1123950</xdr:colOff>
      <xdr:row>11</xdr:row>
      <xdr:rowOff>133350</xdr:rowOff>
    </xdr:to>
    <xdr:sp macro="" textlink="">
      <xdr:nvSpPr>
        <xdr:cNvPr id="4" name="角丸四角形 3"/>
        <xdr:cNvSpPr/>
      </xdr:nvSpPr>
      <xdr:spPr>
        <a:xfrm>
          <a:off x="6457950" y="2952750"/>
          <a:ext cx="2724150" cy="1581150"/>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ja-JP" altLang="en-US" sz="1100" b="1">
              <a:solidFill>
                <a:srgbClr val="FF0000"/>
              </a:solidFill>
            </a:rPr>
            <a:t>注意！！</a:t>
          </a:r>
          <a:endParaRPr kumimoji="1" lang="en-US" altLang="ja-JP" sz="1100" b="1">
            <a:solidFill>
              <a:srgbClr val="FF0000"/>
            </a:solidFill>
          </a:endParaRPr>
        </a:p>
        <a:p>
          <a:pPr algn="l"/>
          <a:r>
            <a:rPr kumimoji="1" lang="ja-JP" altLang="en-US" sz="1000" b="1"/>
            <a:t>・国保税は世帯主課税となりますので個人ごとに課税されるものではありません。世帯全員分が世帯主に課税されます。</a:t>
          </a:r>
          <a:endParaRPr kumimoji="1" lang="en-US" altLang="ja-JP" sz="1000" b="1"/>
        </a:p>
        <a:p>
          <a:pPr algn="l"/>
          <a:endParaRPr kumimoji="1" lang="en-US" altLang="ja-JP" sz="1000" b="1"/>
        </a:p>
        <a:p>
          <a:pPr algn="l"/>
          <a:r>
            <a:rPr kumimoji="1" lang="ja-JP" altLang="en-US" sz="1000" b="1"/>
            <a:t>・試算結果は４月～翌年３月までの金額となります。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409575</xdr:colOff>
      <xdr:row>0</xdr:row>
      <xdr:rowOff>95250</xdr:rowOff>
    </xdr:from>
    <xdr:to>
      <xdr:col>12</xdr:col>
      <xdr:colOff>28575</xdr:colOff>
      <xdr:row>9</xdr:row>
      <xdr:rowOff>1</xdr:rowOff>
    </xdr:to>
    <xdr:sp macro="" textlink="">
      <xdr:nvSpPr>
        <xdr:cNvPr id="2" name="大かっこ 1"/>
        <xdr:cNvSpPr/>
      </xdr:nvSpPr>
      <xdr:spPr>
        <a:xfrm>
          <a:off x="6057900" y="95250"/>
          <a:ext cx="4543425" cy="4105276"/>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7</xdr:col>
      <xdr:colOff>771525</xdr:colOff>
      <xdr:row>10</xdr:row>
      <xdr:rowOff>276225</xdr:rowOff>
    </xdr:from>
    <xdr:to>
      <xdr:col>11</xdr:col>
      <xdr:colOff>142875</xdr:colOff>
      <xdr:row>12</xdr:row>
      <xdr:rowOff>361950</xdr:rowOff>
    </xdr:to>
    <xdr:sp macro="" textlink="">
      <xdr:nvSpPr>
        <xdr:cNvPr id="3" name="角丸四角形吹き出し 2"/>
        <xdr:cNvSpPr/>
      </xdr:nvSpPr>
      <xdr:spPr>
        <a:xfrm>
          <a:off x="6905625" y="4943475"/>
          <a:ext cx="2447925" cy="1019175"/>
        </a:xfrm>
        <a:prstGeom prst="wedgeRoundRectCallout">
          <a:avLst>
            <a:gd name="adj1" fmla="val 39089"/>
            <a:gd name="adj2" fmla="val -72146"/>
            <a:gd name="adj3" fmla="val 16667"/>
          </a:avLst>
        </a:prstGeom>
        <a:solidFill>
          <a:schemeClr val="accent4">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rPr>
            <a:t>○個別に内訳を出すうえで生じる数百円の端数がある世帯については、ご家族内で話し合って誰に増減を実施するか決めてください！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tabSelected="1" zoomScaleNormal="100" workbookViewId="0">
      <selection activeCell="I4" sqref="I4"/>
    </sheetView>
  </sheetViews>
  <sheetFormatPr defaultColWidth="15.75" defaultRowHeight="31.5" customHeight="1" zeroHeight="1" x14ac:dyDescent="0.15"/>
  <cols>
    <col min="1" max="1" width="7" customWidth="1"/>
    <col min="2" max="4" width="15.75" customWidth="1"/>
    <col min="5" max="5" width="7" customWidth="1"/>
    <col min="6" max="6" width="14.125" customWidth="1"/>
    <col min="7" max="7" width="7.625" customWidth="1"/>
    <col min="8" max="8" width="7" customWidth="1"/>
    <col min="9" max="9" width="15.75" customWidth="1"/>
    <col min="10" max="10" width="15.875" customWidth="1"/>
    <col min="11" max="11" width="0" hidden="1" customWidth="1"/>
    <col min="12" max="12" width="26.75" hidden="1" customWidth="1"/>
    <col min="13" max="13" width="11.25" hidden="1" customWidth="1"/>
    <col min="14" max="16383" width="0" hidden="1" customWidth="1"/>
  </cols>
  <sheetData>
    <row r="1" spans="1:13" ht="31.5" customHeight="1" x14ac:dyDescent="0.15">
      <c r="A1" s="91" t="s">
        <v>55</v>
      </c>
      <c r="B1" s="92"/>
      <c r="C1" s="92"/>
      <c r="D1" s="92"/>
      <c r="E1" s="93"/>
      <c r="F1" s="99" t="s">
        <v>36</v>
      </c>
      <c r="G1" s="100"/>
      <c r="H1" s="100"/>
      <c r="I1" s="100"/>
    </row>
    <row r="2" spans="1:13" ht="31.5" customHeight="1" x14ac:dyDescent="0.15"/>
    <row r="3" spans="1:13" ht="31.5" customHeight="1" x14ac:dyDescent="0.15">
      <c r="A3" s="11" t="s">
        <v>7</v>
      </c>
      <c r="C3" s="47" t="s">
        <v>50</v>
      </c>
      <c r="E3" s="12" t="s">
        <v>8</v>
      </c>
      <c r="F3" s="2"/>
      <c r="H3" s="12" t="s">
        <v>11</v>
      </c>
      <c r="I3" s="97" t="s">
        <v>12</v>
      </c>
      <c r="J3" s="98"/>
    </row>
    <row r="4" spans="1:13" ht="31.5" customHeight="1" x14ac:dyDescent="0.15">
      <c r="A4" s="94" t="s">
        <v>37</v>
      </c>
      <c r="B4" s="3" t="s">
        <v>38</v>
      </c>
      <c r="C4" s="42"/>
      <c r="D4" s="4" t="s">
        <v>0</v>
      </c>
      <c r="E4" s="96" t="s">
        <v>10</v>
      </c>
      <c r="F4" s="83"/>
      <c r="G4" s="84"/>
      <c r="I4" s="44" t="s">
        <v>57</v>
      </c>
      <c r="J4" s="48" t="s">
        <v>30</v>
      </c>
    </row>
    <row r="5" spans="1:13" ht="31.5" customHeight="1" x14ac:dyDescent="0.15">
      <c r="A5" s="95"/>
      <c r="B5" s="5" t="s">
        <v>1</v>
      </c>
      <c r="C5" s="42"/>
      <c r="D5" s="6" t="s">
        <v>0</v>
      </c>
      <c r="E5" s="96"/>
      <c r="F5" s="83"/>
      <c r="G5" s="84"/>
    </row>
    <row r="6" spans="1:13" ht="31.5" customHeight="1" x14ac:dyDescent="0.15">
      <c r="A6" s="95"/>
      <c r="B6" s="5" t="s">
        <v>2</v>
      </c>
      <c r="C6" s="42"/>
      <c r="D6" s="6" t="s">
        <v>0</v>
      </c>
      <c r="E6" s="96"/>
      <c r="F6" s="83"/>
      <c r="G6" s="84"/>
      <c r="H6" s="12" t="s">
        <v>13</v>
      </c>
      <c r="I6" s="87" t="s">
        <v>15</v>
      </c>
      <c r="J6" s="88"/>
      <c r="K6" s="13"/>
      <c r="L6" s="35" t="s">
        <v>16</v>
      </c>
      <c r="M6" s="36">
        <v>430000</v>
      </c>
    </row>
    <row r="7" spans="1:13" ht="31.5" customHeight="1" x14ac:dyDescent="0.15">
      <c r="A7" s="95"/>
      <c r="B7" s="5" t="s">
        <v>3</v>
      </c>
      <c r="C7" s="42"/>
      <c r="D7" s="6" t="s">
        <v>0</v>
      </c>
      <c r="E7" s="96"/>
      <c r="F7" s="83"/>
      <c r="G7" s="84"/>
      <c r="I7" s="45" t="s">
        <v>14</v>
      </c>
      <c r="J7" s="46">
        <f>IF(F5="",0,1)+IF(F6="",0,1)+IF(F7="",0,1)+IF(F8="",0,1)+IF(F9="",0,1)+IF(F10="",0,1)+IF(I4="○している",1,0)</f>
        <v>0</v>
      </c>
      <c r="K7" s="1"/>
      <c r="L7" s="37" t="s">
        <v>18</v>
      </c>
      <c r="M7" s="38">
        <f>IF(F5="18歳以下（高校３年生世代まで）",1,0)+IF(F6="18歳以下（高校３年生世代まで）",1,0)+IF(F7="18歳以下（高校３年生世代まで）",1,0)+IF(F8="18歳以下（高校３年生世代まで）",1,0)+IF(F9="18歳以下（高校３年生世代まで）",1,0)+IF(F10="18歳以下（高校３年生世代まで）",1,0)+IF(AND(F4="18歳以下（高校３年生世代まで）",I4="○している"),1,0)</f>
        <v>0</v>
      </c>
    </row>
    <row r="8" spans="1:13" ht="31.5" customHeight="1" x14ac:dyDescent="0.15">
      <c r="A8" s="95"/>
      <c r="B8" s="5" t="s">
        <v>4</v>
      </c>
      <c r="C8" s="42"/>
      <c r="D8" s="6" t="s">
        <v>0</v>
      </c>
      <c r="E8" s="96"/>
      <c r="F8" s="83"/>
      <c r="G8" s="84"/>
      <c r="L8" s="37" t="s">
        <v>28</v>
      </c>
      <c r="M8" s="39">
        <f>IF(M7&gt;=1,17000*M7,0)*IF(M10="7割軽減",0.3,IF(M10="5割軽減",0.5,IF(M10="2割軽減",0.8,1)))</f>
        <v>0</v>
      </c>
    </row>
    <row r="9" spans="1:13" ht="31.5" customHeight="1" x14ac:dyDescent="0.15">
      <c r="A9" s="95"/>
      <c r="B9" s="5" t="s">
        <v>5</v>
      </c>
      <c r="C9" s="42"/>
      <c r="D9" s="6" t="s">
        <v>0</v>
      </c>
      <c r="E9" s="96"/>
      <c r="F9" s="83"/>
      <c r="G9" s="84"/>
      <c r="L9" s="37" t="s">
        <v>29</v>
      </c>
      <c r="M9" s="40">
        <f>IF(M7&gt;=1,7000*M7,0)*IF(M10="7割軽減",0.3,IF(M10="5割軽減",0.5,IF(M10="2割軽減",0.8,1)))</f>
        <v>0</v>
      </c>
    </row>
    <row r="10" spans="1:13" ht="31.5" customHeight="1" thickBot="1" x14ac:dyDescent="0.2">
      <c r="A10" s="95"/>
      <c r="B10" s="8" t="s">
        <v>6</v>
      </c>
      <c r="C10" s="43"/>
      <c r="D10" s="9" t="s">
        <v>0</v>
      </c>
      <c r="E10" s="96"/>
      <c r="F10" s="85"/>
      <c r="G10" s="86"/>
      <c r="L10" s="35" t="s">
        <v>17</v>
      </c>
      <c r="M10" s="35" t="str">
        <f>IF(C11&lt;=M6,"7割軽減",IF(C11&lt;=M6+(285000*J7),"5割軽減",IF(C11&lt;=M6+(520000*J7),"2割軽減","軽減なし")))</f>
        <v>7割軽減</v>
      </c>
    </row>
    <row r="11" spans="1:13" ht="31.5" customHeight="1" thickTop="1" x14ac:dyDescent="0.15">
      <c r="B11" s="10" t="s">
        <v>9</v>
      </c>
      <c r="C11" s="25">
        <f>SUM(C4:C10)</f>
        <v>0</v>
      </c>
      <c r="D11" s="26" t="s">
        <v>0</v>
      </c>
      <c r="L11" s="35" t="s">
        <v>23</v>
      </c>
      <c r="M11" s="39">
        <f>IF(C5-M6&gt;=0,C5-M6,0)+IF(C6-M6&gt;=0,C6-M6,0)+IF(C7-M6&gt;=0,C7-M6,0)+IF(C8-M6&gt;=0,C8-M6,0)+IF(C9-M6&gt;=0,C9-M6,0)+IF(C10-M6&gt;=0,C10-M6,0)+IF(AND(C4-M6&gt;=0,I4="○している"),C4-M6,0)</f>
        <v>0</v>
      </c>
    </row>
    <row r="12" spans="1:13" ht="31.5" customHeight="1" thickBot="1" x14ac:dyDescent="0.2">
      <c r="L12" s="37" t="s">
        <v>19</v>
      </c>
      <c r="M12" s="38">
        <f>IF(F5="40歳～64歳",1,0)+IF(F6="40歳～64歳",1,0)+IF(F7="40歳～64歳",1,0)+IF(F8="40歳～64歳",1,0)+IF(F9="40歳～64歳",1,0)+IF(F10="40歳～64歳",1,0)+IF(AND(F4="40歳～64歳",I4="○している"),1,0)</f>
        <v>0</v>
      </c>
    </row>
    <row r="13" spans="1:13" ht="31.5" customHeight="1" thickBot="1" x14ac:dyDescent="0.2">
      <c r="B13" s="79" t="s">
        <v>39</v>
      </c>
      <c r="C13" s="80"/>
      <c r="D13" s="80"/>
      <c r="E13" s="80"/>
      <c r="F13" s="80"/>
      <c r="G13" s="81"/>
      <c r="H13" s="81"/>
      <c r="I13" s="81"/>
      <c r="J13" s="82"/>
      <c r="L13" s="41" t="s">
        <v>20</v>
      </c>
      <c r="M13" s="39">
        <f>IF(AND(F5="40歳～64歳",C5-M6&gt;=0),C5-M6,0)+IF(AND(F6="40歳～64歳",C6-M6&gt;=0),C6-M6,0)+IF(AND(F7="40歳～64歳",C7-M6&gt;=0),C7-M6,0)+IF(AND(F8="40歳～64歳",C8-M6&gt;=0),C8-M6,0)+IF(AND(F9="40歳～64歳",C9-M6&gt;=0),C9-M6,0)+IF(AND(F10="40歳～64歳",C10-M6&gt;=0),C10-M6,0)+IF(AND(F4="40歳～64歳",C4-M6&gt;=0,I4="○している"),C4-M6,0)</f>
        <v>0</v>
      </c>
    </row>
    <row r="14" spans="1:13" ht="31.5" customHeight="1" thickBot="1" x14ac:dyDescent="0.2">
      <c r="B14" s="89" t="s">
        <v>24</v>
      </c>
      <c r="C14" s="90"/>
      <c r="D14" s="17">
        <f>D15+D16+D17</f>
        <v>0</v>
      </c>
      <c r="E14" s="18" t="s">
        <v>0</v>
      </c>
      <c r="F14" s="27" t="s">
        <v>25</v>
      </c>
      <c r="G14" s="76" t="s">
        <v>31</v>
      </c>
      <c r="H14" s="77"/>
      <c r="I14" s="78"/>
      <c r="J14" s="34" t="s">
        <v>35</v>
      </c>
    </row>
    <row r="15" spans="1:13" ht="31.5" customHeight="1" thickTop="1" x14ac:dyDescent="0.15">
      <c r="B15" s="19" t="s">
        <v>26</v>
      </c>
      <c r="C15" s="14" t="s">
        <v>22</v>
      </c>
      <c r="D15" s="15">
        <f>IF(M11*0.08+34000*J7*IF(M10="7割軽減",0.3,IF(M10="5割軽減",0.5,IF(M10="2割軽減",0.8,1)))-M8&gt;=650000,650000,ROUNDDOWN(M11*0.08+34000*J7*IF(M10="7割軽減",0.3,IF(M10="5割軽減",0.5,IF(M10="2割軽減",0.8,1)))-M8,-2))</f>
        <v>0</v>
      </c>
      <c r="E15" s="7" t="s">
        <v>0</v>
      </c>
      <c r="F15" s="68" t="s">
        <v>53</v>
      </c>
      <c r="G15" s="70" t="s">
        <v>32</v>
      </c>
      <c r="H15" s="71"/>
      <c r="I15" s="32">
        <f>D14-(I16*7)</f>
        <v>0</v>
      </c>
      <c r="J15" s="33">
        <f>D14/12</f>
        <v>0</v>
      </c>
    </row>
    <row r="16" spans="1:13" ht="31.5" customHeight="1" x14ac:dyDescent="0.15">
      <c r="B16" s="20"/>
      <c r="C16" s="16" t="s">
        <v>21</v>
      </c>
      <c r="D16" s="15">
        <f>IF(M11*0.027+14000*J7*IF(M10="7割軽減",0.3,IF(M10="5割軽減",0.5,IF(M10="2割軽減",0.8,1)))-M9&gt;=220000,220000,ROUNDDOWN(M11*0.027+14000*J7*IF(M10="7割軽減",0.3,IF(M10="5割軽減",0.5,IF(M10="2割軽減",0.8,1)))-M9,-2))</f>
        <v>0</v>
      </c>
      <c r="E16" s="7" t="s">
        <v>0</v>
      </c>
      <c r="F16" s="68" t="s">
        <v>56</v>
      </c>
      <c r="G16" s="72" t="s">
        <v>33</v>
      </c>
      <c r="H16" s="73"/>
      <c r="I16" s="28">
        <f>ROUNDDOWN(D14/8,-3)</f>
        <v>0</v>
      </c>
      <c r="J16" s="30"/>
    </row>
    <row r="17" spans="2:10" ht="31.5" customHeight="1" thickBot="1" x14ac:dyDescent="0.2">
      <c r="B17" s="21"/>
      <c r="C17" s="22" t="s">
        <v>27</v>
      </c>
      <c r="D17" s="23">
        <f>IF(M13*0.018+14000*M12*IF(M10="7割軽減",0.3,IF(M10="5割軽減",0.5,IF(M10="2割軽減",0.8,1)))&gt;=170000,170000,ROUNDDOWN(M13*0.018+14000*M12*IF(M10="7割軽減",0.3,IF(M10="5割軽減",0.5,IF(M10="2割軽減",0.8,1))),-2))</f>
        <v>0</v>
      </c>
      <c r="E17" s="24" t="s">
        <v>0</v>
      </c>
      <c r="F17" s="69" t="s">
        <v>54</v>
      </c>
      <c r="G17" s="74" t="s">
        <v>34</v>
      </c>
      <c r="H17" s="75"/>
      <c r="I17" s="29">
        <f>I15+(I16*7)</f>
        <v>0</v>
      </c>
      <c r="J17" s="31"/>
    </row>
  </sheetData>
  <sheetProtection sheet="1" objects="1" scenarios="1" selectLockedCells="1"/>
  <mergeCells count="19">
    <mergeCell ref="F9:G9"/>
    <mergeCell ref="F10:G10"/>
    <mergeCell ref="I6:J6"/>
    <mergeCell ref="B14:C14"/>
    <mergeCell ref="A1:E1"/>
    <mergeCell ref="A4:A10"/>
    <mergeCell ref="E4:E10"/>
    <mergeCell ref="I3:J3"/>
    <mergeCell ref="F4:G4"/>
    <mergeCell ref="F5:G5"/>
    <mergeCell ref="F6:G6"/>
    <mergeCell ref="F7:G7"/>
    <mergeCell ref="F8:G8"/>
    <mergeCell ref="F1:I1"/>
    <mergeCell ref="G15:H15"/>
    <mergeCell ref="G16:H16"/>
    <mergeCell ref="G17:H17"/>
    <mergeCell ref="G14:I14"/>
    <mergeCell ref="B13:J13"/>
  </mergeCells>
  <phoneticPr fontId="2"/>
  <dataValidations count="4">
    <dataValidation type="list" allowBlank="1" showInputMessage="1" showErrorMessage="1" sqref="I4">
      <formula1>"○している,×していない"</formula1>
    </dataValidation>
    <dataValidation type="whole" allowBlank="1" showInputMessage="1" showErrorMessage="1" errorTitle="所得がマイナスの場合は「０」を入力してください！" sqref="C4:C10">
      <formula1>0</formula1>
      <formula2>9999999999999</formula2>
    </dataValidation>
    <dataValidation type="list" allowBlank="1" showInputMessage="1" showErrorMessage="1" sqref="F5:G10">
      <formula1>"18歳以下（高校３年生世代まで）,18歳（上記以外）～39歳,40歳～64歳,65歳～74歳"</formula1>
    </dataValidation>
    <dataValidation type="list" allowBlank="1" showInputMessage="1" showErrorMessage="1" sqref="F4:G4">
      <formula1>"18歳以下（高校３年生世代まで）,18歳（上記以外）～39歳,40歳～64歳,65歳～74歳,75歳～"</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0"/>
  <sheetViews>
    <sheetView workbookViewId="0">
      <selection activeCell="F3" sqref="F3"/>
    </sheetView>
  </sheetViews>
  <sheetFormatPr defaultColWidth="17.875" defaultRowHeight="36.75" customHeight="1" x14ac:dyDescent="0.15"/>
  <cols>
    <col min="2" max="2" width="18.625" customWidth="1"/>
    <col min="3" max="3" width="5.625" customWidth="1"/>
    <col min="4" max="4" width="12.875" customWidth="1"/>
    <col min="5" max="5" width="5.75" customWidth="1"/>
    <col min="6" max="6" width="17" customWidth="1"/>
    <col min="7" max="7" width="6.375" customWidth="1"/>
    <col min="8" max="8" width="13.5" customWidth="1"/>
    <col min="9" max="9" width="5.75" customWidth="1"/>
    <col min="10" max="10" width="15.125" customWidth="1"/>
    <col min="11" max="11" width="6" customWidth="1"/>
    <col min="13" max="13" width="5.75" customWidth="1"/>
    <col min="14" max="14" width="13.125" customWidth="1"/>
    <col min="15" max="15" width="6" customWidth="1"/>
  </cols>
  <sheetData>
    <row r="1" spans="1:15" ht="36.75" customHeight="1" thickBot="1" x14ac:dyDescent="0.2">
      <c r="A1" s="101" t="s">
        <v>52</v>
      </c>
      <c r="B1" s="102"/>
      <c r="C1" s="103"/>
    </row>
    <row r="2" spans="1:15" ht="36.75" customHeight="1" thickTop="1" x14ac:dyDescent="0.15">
      <c r="B2" s="50" t="s">
        <v>40</v>
      </c>
      <c r="C2" s="49"/>
      <c r="D2" t="s">
        <v>41</v>
      </c>
      <c r="F2" s="52" t="s">
        <v>42</v>
      </c>
      <c r="H2" t="s">
        <v>44</v>
      </c>
      <c r="J2" s="49" t="s">
        <v>45</v>
      </c>
      <c r="L2" s="49" t="s">
        <v>46</v>
      </c>
      <c r="N2" s="111" t="s">
        <v>47</v>
      </c>
      <c r="O2" s="112"/>
    </row>
    <row r="3" spans="1:15" ht="36.75" customHeight="1" x14ac:dyDescent="0.15">
      <c r="A3" s="3" t="s">
        <v>38</v>
      </c>
      <c r="B3" s="53" t="str">
        <f>IF(令和5年度国保税試算表!I4="×していない","",IF(令和5年度国保税試算表!C4="","",IF(令和5年度国保税試算表!C4-430000&lt;=0,0,令和5年度国保税試算表!C4-430000)))</f>
        <v/>
      </c>
      <c r="C3" s="54" t="str">
        <f>IF(B3="","","×")</f>
        <v/>
      </c>
      <c r="D3" s="55" t="str">
        <f>IF(令和5年度国保税試算表!I4="×していない","",IF(令和5年度国保税試算表!F4="","",IF(令和5年度国保税試算表!F4="40歳～64歳",0.125,0.107)))</f>
        <v/>
      </c>
      <c r="E3" s="54" t="str">
        <f>IF(B3="","","＝")</f>
        <v/>
      </c>
      <c r="F3" s="65" t="str">
        <f>IF(B3="","",IF(D3=12.5%,ROUNDDOWN(B3*0.08,-2)+ROUNDDOWN(B3*0.027,-2)+ROUNDDOWN(B3*0.018,-2),ROUNDDOWN(B3*0.08,-2)+ROUNDDOWN(B3*0.027,-2)))</f>
        <v/>
      </c>
      <c r="G3" s="54" t="str">
        <f>IF(B3="","","＋")</f>
        <v/>
      </c>
      <c r="H3" s="53" t="str">
        <f>IF(令和5年度国保税試算表!I4="×していない","",IF(令和5年度国保税試算表!F4="40歳～64歳",62000,IF(令和5年度国保税試算表!F4="","",48000)))</f>
        <v/>
      </c>
      <c r="I3" s="54" t="str">
        <f>IF(B3="","","-")</f>
        <v/>
      </c>
      <c r="J3" s="56" t="str">
        <f>IF(H3="","",IF(令和5年度国保税試算表!$C$11&lt;=430000,"７割軽減",IF(令和5年度国保税試算表!$C$11&lt;=430000+(285000*令和5年度国保税試算表!$J$7),"５割軽減",IF(令和5年度国保税試算表!$C$11&lt;=430000+(520000*令和5年度国保税試算表!$J$7),"２割軽減","軽減なし"))))</f>
        <v/>
      </c>
      <c r="K3" s="54" t="str">
        <f>IF(B3="","","-")</f>
        <v/>
      </c>
      <c r="L3" s="53" t="str">
        <f>IF(令和5年度国保税試算表!I4="×していない","",IF(令和5年度国保税試算表!F4="","",IF(AND(令和5年度国保税試算表!F4="18歳以下（高校３年生世代まで）",令和5年度国保税試算表!M10="軽減なし"),24000,IF(AND(令和5年度国保税試算表!F4="18歳以下（高校３年生世代まで）",令和5年度国保税試算表!M10="7割軽減"),24000*0.3,IF(AND(令和5年度国保税試算表!F4="18歳以下（高校３年生世代まで）",令和5年度国保税試算表!M10="5割軽減"),24000*0.5,IF(AND(令和5年度国保税試算表!F4="18歳以下（高校３年生世代まで）",令和5年度国保税試算表!M10="2割軽減"),24000*0.8,0))))))</f>
        <v/>
      </c>
      <c r="M3" s="54" t="str">
        <f>IF(B3="","","＝")</f>
        <v/>
      </c>
      <c r="N3" s="116" t="str">
        <f>IF(B3="","",F3+H3-L3-IF(J3="軽減なし",0,IF(J3="７割軽減",H3*0.7,IF(J3="５割軽減",H3*0.5,IF(J3="２割軽減",H3*0.2,0)))))</f>
        <v/>
      </c>
      <c r="O3" s="117"/>
    </row>
    <row r="4" spans="1:15" ht="36.75" customHeight="1" x14ac:dyDescent="0.15">
      <c r="A4" s="5" t="s">
        <v>1</v>
      </c>
      <c r="B4" s="57" t="str">
        <f>IF(令和5年度国保税試算表!C5="","",IF(令和5年度国保税試算表!C5-430000&lt;=0,0,令和5年度国保税試算表!C5-430000))</f>
        <v/>
      </c>
      <c r="C4" s="58" t="str">
        <f t="shared" ref="C4:C9" si="0">IF(B4="","","×")</f>
        <v/>
      </c>
      <c r="D4" s="59" t="str">
        <f>IF(令和5年度国保税試算表!F5="","",IF(令和5年度国保税試算表!F5="40歳～64歳",0.125,0.107))</f>
        <v/>
      </c>
      <c r="E4" s="58" t="str">
        <f t="shared" ref="E4:E9" si="1">IF(B4="","","＝")</f>
        <v/>
      </c>
      <c r="F4" s="65" t="str">
        <f t="shared" ref="F4:F9" si="2">IF(B4="","",IF(D4=12.5%,ROUNDDOWN(B4*0.08,-2)+ROUNDDOWN(B4*0.027,-2)+ROUNDDOWN(B4*0.018,-2),ROUNDDOWN(B4*0.08,-2)+ROUNDDOWN(B4*0.027,-2)))</f>
        <v/>
      </c>
      <c r="G4" s="58" t="str">
        <f t="shared" ref="G4:G9" si="3">IF(B4="","","＋")</f>
        <v/>
      </c>
      <c r="H4" s="57" t="str">
        <f>IF(令和5年度国保税試算表!F5="40歳～64歳",62000,IF(令和5年度国保税試算表!F5="","",48000))</f>
        <v/>
      </c>
      <c r="I4" s="58" t="str">
        <f t="shared" ref="I4:I9" si="4">IF(B4="","","-")</f>
        <v/>
      </c>
      <c r="J4" s="60" t="str">
        <f>IF(H4="","",IF(令和5年度国保税試算表!$C$11&lt;=430000,"７割軽減",IF(令和5年度国保税試算表!$C$11&lt;=430000+(285000*令和5年度国保税試算表!$J$7),"５割軽減",IF(令和5年度国保税試算表!$C$11&lt;=430000+(520000*令和5年度国保税試算表!$J$7),"２割軽減","軽減なし"))))</f>
        <v/>
      </c>
      <c r="K4" s="58" t="str">
        <f t="shared" ref="K4:K9" si="5">IF(B4="","","-")</f>
        <v/>
      </c>
      <c r="L4" s="57" t="str">
        <f>IF(令和5年度国保税試算表!F5="","",IF(AND(令和5年度国保税試算表!F5="18歳以下（高校３年生世代まで）",令和5年度国保税試算表!$M$10="軽減なし"),24000,IF(AND(令和5年度国保税試算表!F5="18歳以下（高校３年生世代まで）",令和5年度国保税試算表!$M$10="7割軽減"),24000*0.3,IF(AND(令和5年度国保税試算表!F5="18歳以下（高校３年生世代まで）",令和5年度国保税試算表!$M$10="5割軽減"),24000*0.5,IF(AND(令和5年度国保税試算表!F5="18歳以下（高校３年生世代まで）",令和5年度国保税試算表!$M$10="2割軽減"),24000*0.8,0)))))</f>
        <v/>
      </c>
      <c r="M4" s="58" t="str">
        <f t="shared" ref="M4:M9" si="6">IF(B4="","","＝")</f>
        <v/>
      </c>
      <c r="N4" s="113" t="str">
        <f t="shared" ref="N4:N9" si="7">IF(B4="","",F4+H4-L4-IF(J4="軽減なし",0,IF(J4="７割軽減",H4*0.7,IF(J4="５割軽減",H4*0.5,IF(J4="２割軽減",H4*0.2,0)))))</f>
        <v/>
      </c>
      <c r="O4" s="92"/>
    </row>
    <row r="5" spans="1:15" ht="36.75" customHeight="1" x14ac:dyDescent="0.15">
      <c r="A5" s="5" t="s">
        <v>2</v>
      </c>
      <c r="B5" s="57" t="str">
        <f>IF(令和5年度国保税試算表!C6="","",IF(令和5年度国保税試算表!C6-430000&lt;=0,0,令和5年度国保税試算表!C6-430000))</f>
        <v/>
      </c>
      <c r="C5" s="58" t="str">
        <f t="shared" si="0"/>
        <v/>
      </c>
      <c r="D5" s="59" t="str">
        <f>IF(令和5年度国保税試算表!F6="","",IF(令和5年度国保税試算表!F6="40歳～64歳",0.125,0.107))</f>
        <v/>
      </c>
      <c r="E5" s="58" t="str">
        <f t="shared" si="1"/>
        <v/>
      </c>
      <c r="F5" s="65" t="str">
        <f t="shared" si="2"/>
        <v/>
      </c>
      <c r="G5" s="58" t="str">
        <f t="shared" si="3"/>
        <v/>
      </c>
      <c r="H5" s="57" t="str">
        <f>IF(令和5年度国保税試算表!F6="40歳～64歳",62000,IF(令和5年度国保税試算表!F6="","",48000))</f>
        <v/>
      </c>
      <c r="I5" s="58" t="str">
        <f t="shared" si="4"/>
        <v/>
      </c>
      <c r="J5" s="60" t="str">
        <f>IF(H5="","",IF(令和5年度国保税試算表!$C$11&lt;=430000,"７割軽減",IF(令和5年度国保税試算表!$C$11&lt;=430000+(285000*令和5年度国保税試算表!$J$7),"５割軽減",IF(令和5年度国保税試算表!$C$11&lt;=430000+(520000*令和5年度国保税試算表!$J$7),"２割軽減","軽減なし"))))</f>
        <v/>
      </c>
      <c r="K5" s="58" t="str">
        <f t="shared" si="5"/>
        <v/>
      </c>
      <c r="L5" s="57" t="str">
        <f>IF(令和5年度国保税試算表!F6="","",IF(AND(令和5年度国保税試算表!F6="18歳以下（高校３年生世代まで）",令和5年度国保税試算表!$M$10="軽減なし"),24000,IF(AND(令和5年度国保税試算表!F6="18歳以下（高校３年生世代まで）",令和5年度国保税試算表!$M$10="7割軽減"),24000*0.3,IF(AND(令和5年度国保税試算表!F6="18歳以下（高校３年生世代まで）",令和5年度国保税試算表!$M$10="5割軽減"),24000*0.5,IF(AND(令和5年度国保税試算表!F6="18歳以下（高校３年生世代まで）",令和5年度国保税試算表!$M$10="2割軽減"),24000*0.8,0)))))</f>
        <v/>
      </c>
      <c r="M5" s="58" t="str">
        <f t="shared" si="6"/>
        <v/>
      </c>
      <c r="N5" s="113" t="str">
        <f t="shared" si="7"/>
        <v/>
      </c>
      <c r="O5" s="92"/>
    </row>
    <row r="6" spans="1:15" ht="36.75" customHeight="1" x14ac:dyDescent="0.15">
      <c r="A6" s="5" t="s">
        <v>3</v>
      </c>
      <c r="B6" s="57" t="str">
        <f>IF(令和5年度国保税試算表!C7="","",IF(令和5年度国保税試算表!C7-430000&lt;=0,0,令和5年度国保税試算表!C7-430000))</f>
        <v/>
      </c>
      <c r="C6" s="58" t="str">
        <f t="shared" si="0"/>
        <v/>
      </c>
      <c r="D6" s="59" t="str">
        <f>IF(令和5年度国保税試算表!F7="","",IF(令和5年度国保税試算表!F7="40歳～64歳",0.125,0.107))</f>
        <v/>
      </c>
      <c r="E6" s="58" t="str">
        <f t="shared" si="1"/>
        <v/>
      </c>
      <c r="F6" s="65" t="str">
        <f t="shared" si="2"/>
        <v/>
      </c>
      <c r="G6" s="58" t="str">
        <f t="shared" si="3"/>
        <v/>
      </c>
      <c r="H6" s="57" t="str">
        <f>IF(令和5年度国保税試算表!F7="40歳～64歳",62000,IF(令和5年度国保税試算表!F7="","",48000))</f>
        <v/>
      </c>
      <c r="I6" s="58" t="str">
        <f t="shared" si="4"/>
        <v/>
      </c>
      <c r="J6" s="60" t="str">
        <f>IF(H6="","",IF(令和5年度国保税試算表!$C$11&lt;=430000,"７割軽減",IF(令和5年度国保税試算表!$C$11&lt;=430000+(285000*令和5年度国保税試算表!$J$7),"５割軽減",IF(令和5年度国保税試算表!$C$11&lt;=430000+(520000*令和5年度国保税試算表!$J$7),"２割軽減","軽減なし"))))</f>
        <v/>
      </c>
      <c r="K6" s="58" t="str">
        <f t="shared" si="5"/>
        <v/>
      </c>
      <c r="L6" s="57" t="str">
        <f>IF(令和5年度国保税試算表!F7="","",IF(AND(令和5年度国保税試算表!F7="18歳以下（高校３年生世代まで）",令和5年度国保税試算表!$M$10="軽減なし"),24000,IF(AND(令和5年度国保税試算表!F7="18歳以下（高校３年生世代まで）",令和5年度国保税試算表!$M$10="7割軽減"),24000*0.3,IF(AND(令和5年度国保税試算表!F7="18歳以下（高校３年生世代まで）",令和5年度国保税試算表!$M$10="5割軽減"),24000*0.5,IF(AND(令和5年度国保税試算表!F7="18歳以下（高校３年生世代まで）",令和5年度国保税試算表!$M$10="2割軽減"),24000*0.8,0)))))</f>
        <v/>
      </c>
      <c r="M6" s="58" t="str">
        <f t="shared" si="6"/>
        <v/>
      </c>
      <c r="N6" s="113" t="str">
        <f t="shared" si="7"/>
        <v/>
      </c>
      <c r="O6" s="92"/>
    </row>
    <row r="7" spans="1:15" ht="36.75" customHeight="1" x14ac:dyDescent="0.15">
      <c r="A7" s="5" t="s">
        <v>4</v>
      </c>
      <c r="B7" s="57" t="str">
        <f>IF(令和5年度国保税試算表!C8="","",IF(令和5年度国保税試算表!C8-430000&lt;=0,0,令和5年度国保税試算表!C8-430000))</f>
        <v/>
      </c>
      <c r="C7" s="58" t="str">
        <f t="shared" si="0"/>
        <v/>
      </c>
      <c r="D7" s="59" t="str">
        <f>IF(令和5年度国保税試算表!F8="","",IF(令和5年度国保税試算表!F8="40歳～64歳",0.125,0.107))</f>
        <v/>
      </c>
      <c r="E7" s="58" t="str">
        <f t="shared" si="1"/>
        <v/>
      </c>
      <c r="F7" s="65" t="str">
        <f t="shared" si="2"/>
        <v/>
      </c>
      <c r="G7" s="58" t="str">
        <f t="shared" si="3"/>
        <v/>
      </c>
      <c r="H7" s="57" t="str">
        <f>IF(令和5年度国保税試算表!F8="40歳～64歳",62000,IF(令和5年度国保税試算表!F8="","",48000))</f>
        <v/>
      </c>
      <c r="I7" s="58" t="str">
        <f t="shared" si="4"/>
        <v/>
      </c>
      <c r="J7" s="60" t="str">
        <f>IF(H7="","",IF(令和5年度国保税試算表!$C$11&lt;=430000,"７割軽減",IF(令和5年度国保税試算表!$C$11&lt;=430000+(285000*令和5年度国保税試算表!$J$7),"５割軽減",IF(令和5年度国保税試算表!$C$11&lt;=430000+(520000*令和5年度国保税試算表!$J$7),"２割軽減","軽減なし"))))</f>
        <v/>
      </c>
      <c r="K7" s="58" t="str">
        <f t="shared" si="5"/>
        <v/>
      </c>
      <c r="L7" s="57" t="str">
        <f>IF(令和5年度国保税試算表!F8="","",IF(AND(令和5年度国保税試算表!F8="18歳以下（高校３年生世代まで）",令和5年度国保税試算表!$M$10="軽減なし"),24000,IF(AND(令和5年度国保税試算表!F8="18歳以下（高校３年生世代まで）",令和5年度国保税試算表!$M$10="7割軽減"),24000*0.3,IF(AND(令和5年度国保税試算表!F8="18歳以下（高校３年生世代まで）",令和5年度国保税試算表!$M$10="5割軽減"),24000*0.5,IF(AND(令和5年度国保税試算表!F8="18歳以下（高校３年生世代まで）",令和5年度国保税試算表!$M$10="2割軽減"),24000*0.8,0)))))</f>
        <v/>
      </c>
      <c r="M7" s="58" t="str">
        <f t="shared" si="6"/>
        <v/>
      </c>
      <c r="N7" s="113" t="str">
        <f t="shared" si="7"/>
        <v/>
      </c>
      <c r="O7" s="92"/>
    </row>
    <row r="8" spans="1:15" ht="36.75" customHeight="1" x14ac:dyDescent="0.15">
      <c r="A8" s="5" t="s">
        <v>5</v>
      </c>
      <c r="B8" s="57" t="str">
        <f>IF(令和5年度国保税試算表!C9="","",IF(令和5年度国保税試算表!C9-430000&lt;=0,0,令和5年度国保税試算表!C9-430000))</f>
        <v/>
      </c>
      <c r="C8" s="58" t="str">
        <f t="shared" si="0"/>
        <v/>
      </c>
      <c r="D8" s="59" t="str">
        <f>IF(令和5年度国保税試算表!F9="","",IF(令和5年度国保税試算表!F9="40歳～64歳",0.125,0.107))</f>
        <v/>
      </c>
      <c r="E8" s="58" t="str">
        <f t="shared" si="1"/>
        <v/>
      </c>
      <c r="F8" s="65" t="str">
        <f t="shared" si="2"/>
        <v/>
      </c>
      <c r="G8" s="58" t="str">
        <f t="shared" si="3"/>
        <v/>
      </c>
      <c r="H8" s="57" t="str">
        <f>IF(令和5年度国保税試算表!F9="40歳～64歳",62000,IF(令和5年度国保税試算表!F9="","",48000))</f>
        <v/>
      </c>
      <c r="I8" s="58" t="str">
        <f t="shared" si="4"/>
        <v/>
      </c>
      <c r="J8" s="60" t="str">
        <f>IF(H8="","",IF(令和5年度国保税試算表!$C$11&lt;=430000,"７割軽減",IF(令和5年度国保税試算表!$C$11&lt;=430000+(285000*令和5年度国保税試算表!$J$7),"５割軽減",IF(令和5年度国保税試算表!$C$11&lt;=430000+(520000*令和5年度国保税試算表!$J$7),"２割軽減","軽減なし"))))</f>
        <v/>
      </c>
      <c r="K8" s="58" t="str">
        <f t="shared" si="5"/>
        <v/>
      </c>
      <c r="L8" s="57" t="str">
        <f>IF(令和5年度国保税試算表!F9="","",IF(AND(令和5年度国保税試算表!F9="18歳以下（高校３年生世代まで）",令和5年度国保税試算表!$M$10="軽減なし"),24000,IF(AND(令和5年度国保税試算表!F9="18歳以下（高校３年生世代まで）",令和5年度国保税試算表!$M$10="7割軽減"),24000*0.3,IF(AND(令和5年度国保税試算表!F9="18歳以下（高校３年生世代まで）",令和5年度国保税試算表!$M$10="5割軽減"),24000*0.5,IF(AND(令和5年度国保税試算表!F9="18歳以下（高校３年生世代まで）",令和5年度国保税試算表!$M$10="2割軽減"),24000*0.8,0)))))</f>
        <v/>
      </c>
      <c r="M8" s="58" t="str">
        <f t="shared" si="6"/>
        <v/>
      </c>
      <c r="N8" s="113" t="str">
        <f t="shared" si="7"/>
        <v/>
      </c>
      <c r="O8" s="92"/>
    </row>
    <row r="9" spans="1:15" ht="36.75" customHeight="1" thickBot="1" x14ac:dyDescent="0.2">
      <c r="A9" s="8" t="s">
        <v>6</v>
      </c>
      <c r="B9" s="61" t="str">
        <f>IF(令和5年度国保税試算表!C10="","",IF(令和5年度国保税試算表!C10-430000&lt;=0,0,令和5年度国保税試算表!C10-430000))</f>
        <v/>
      </c>
      <c r="C9" s="62" t="str">
        <f t="shared" si="0"/>
        <v/>
      </c>
      <c r="D9" s="63" t="str">
        <f>IF(令和5年度国保税試算表!F10="","",IF(令和5年度国保税試算表!F10="40歳～64歳",0.125,0.107))</f>
        <v/>
      </c>
      <c r="E9" s="62" t="str">
        <f t="shared" si="1"/>
        <v/>
      </c>
      <c r="F9" s="65" t="str">
        <f t="shared" si="2"/>
        <v/>
      </c>
      <c r="G9" s="62" t="str">
        <f t="shared" si="3"/>
        <v/>
      </c>
      <c r="H9" s="61" t="str">
        <f>IF(令和5年度国保税試算表!F10="40歳～64歳",62000,IF(令和5年度国保税試算表!F10="","",48000))</f>
        <v/>
      </c>
      <c r="I9" s="62" t="str">
        <f t="shared" si="4"/>
        <v/>
      </c>
      <c r="J9" s="64" t="str">
        <f>IF(H9="","",IF(令和5年度国保税試算表!$C$11&lt;=430000,"７割軽減",IF(令和5年度国保税試算表!$C$11&lt;=430000+(285000*令和5年度国保税試算表!$J$7),"５割軽減",IF(令和5年度国保税試算表!$C$11&lt;=430000+(520000*令和5年度国保税試算表!$J$7),"２割軽減","軽減なし"))))</f>
        <v/>
      </c>
      <c r="K9" s="62" t="str">
        <f t="shared" si="5"/>
        <v/>
      </c>
      <c r="L9" s="57" t="str">
        <f>IF(令和5年度国保税試算表!F10="","",IF(AND(令和5年度国保税試算表!F10="18歳以下（高校３年生世代まで）",令和5年度国保税試算表!$M$10="軽減なし"),24000,IF(AND(令和5年度国保税試算表!F10="18歳以下（高校３年生世代まで）",令和5年度国保税試算表!$M$10="7割軽減"),24000*0.3,IF(AND(令和5年度国保税試算表!F10="18歳以下（高校３年生世代まで）",令和5年度国保税試算表!$M$10="5割軽減"),24000*0.5,IF(AND(令和5年度国保税試算表!F10="18歳以下（高校３年生世代まで）",令和5年度国保税試算表!$M$10="2割軽減"),24000*0.8,0)))))</f>
        <v/>
      </c>
      <c r="M9" s="62" t="str">
        <f t="shared" si="6"/>
        <v/>
      </c>
      <c r="N9" s="114" t="str">
        <f t="shared" si="7"/>
        <v/>
      </c>
      <c r="O9" s="115"/>
    </row>
    <row r="10" spans="1:15" ht="36.75" customHeight="1" thickTop="1" x14ac:dyDescent="0.15">
      <c r="C10" s="104" t="s">
        <v>48</v>
      </c>
      <c r="D10" s="104"/>
      <c r="E10" s="104"/>
      <c r="F10" s="104"/>
      <c r="G10" s="51" t="s">
        <v>49</v>
      </c>
      <c r="H10" s="105">
        <f>IF(N3="",0,N3)+IF(N4="",0,N4)+IF(N5="",0,N5)+IF(N6="",0,N6)+IF(N7="",0,N7)+IF(N8="",0,N8)+IF(N9="",0,N9)</f>
        <v>0</v>
      </c>
      <c r="I10" s="106"/>
      <c r="J10" s="66" t="s">
        <v>43</v>
      </c>
      <c r="K10" s="107">
        <f>令和5年度国保税試算表!D14-個人別内訳!H10</f>
        <v>0</v>
      </c>
      <c r="L10" s="108"/>
      <c r="M10" s="67" t="s">
        <v>51</v>
      </c>
      <c r="N10" s="109">
        <f>IF(K10&lt;=0,H10-K10,IF(K10&gt;=0,H10+K10,H10+0))</f>
        <v>0</v>
      </c>
      <c r="O10" s="110"/>
    </row>
  </sheetData>
  <sheetProtection selectLockedCells="1"/>
  <mergeCells count="13">
    <mergeCell ref="A1:C1"/>
    <mergeCell ref="C10:F10"/>
    <mergeCell ref="H10:I10"/>
    <mergeCell ref="K10:L10"/>
    <mergeCell ref="N10:O10"/>
    <mergeCell ref="N2:O2"/>
    <mergeCell ref="N4:O4"/>
    <mergeCell ref="N5:O5"/>
    <mergeCell ref="N6:O6"/>
    <mergeCell ref="N7:O7"/>
    <mergeCell ref="N8:O8"/>
    <mergeCell ref="N9:O9"/>
    <mergeCell ref="N3:O3"/>
  </mergeCells>
  <phoneticPr fontId="2"/>
  <pageMargins left="0.7" right="0.7" top="0.75" bottom="0.75" header="0.3" footer="0.3"/>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令和5年度国保税試算表</vt:lpstr>
      <vt:lpstr>個人別内訳</vt:lpstr>
      <vt:lpstr>令和5年度国保税試算表!Print_Area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慶太</dc:creator>
  <cp:lastModifiedBy>八千代町</cp:lastModifiedBy>
  <cp:lastPrinted>2022-03-04T06:18:16Z</cp:lastPrinted>
  <dcterms:created xsi:type="dcterms:W3CDTF">2022-03-03T00:40:12Z</dcterms:created>
  <dcterms:modified xsi:type="dcterms:W3CDTF">2023-03-22T05:20:08Z</dcterms:modified>
</cp:coreProperties>
</file>